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Unconstrained" sheetId="1" r:id="rId1"/>
    <sheet name="Constrained" sheetId="4" r:id="rId2"/>
  </sheets>
  <definedNames>
    <definedName name="solver_adj" localSheetId="1" hidden="1">Constrained!$I$3</definedName>
    <definedName name="solver_adj" localSheetId="0" hidden="1">Unconstrained!$I$13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Constrained!$I$5</definedName>
    <definedName name="solver_lhs2" localSheetId="1" hidden="1">Constrained!$I$7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Constrained!$N$6</definedName>
    <definedName name="solver_opt" localSheetId="0" hidden="1">Unconstrained!$N$16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3</definedName>
    <definedName name="solver_rel2" localSheetId="1" hidden="1">1</definedName>
    <definedName name="solver_rhs1" localSheetId="1" hidden="1">Constrained!$C$11</definedName>
    <definedName name="solver_rhs2" localSheetId="1" hidden="1">Constrained!$C$10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N11" i="4" l="1"/>
  <c r="I7" i="4"/>
  <c r="I6" i="4"/>
  <c r="C6" i="4"/>
  <c r="C7" i="4" s="1"/>
  <c r="I5" i="4"/>
  <c r="N4" i="4"/>
  <c r="I4" i="4"/>
  <c r="N3" i="4"/>
  <c r="N21" i="1"/>
  <c r="N15" i="1"/>
  <c r="N13" i="1"/>
  <c r="N14" i="1"/>
  <c r="I17" i="1"/>
  <c r="N4" i="1"/>
  <c r="C16" i="1"/>
  <c r="C17" i="1" s="1"/>
  <c r="I19" i="1" s="1"/>
  <c r="I16" i="1" s="1"/>
  <c r="C6" i="1"/>
  <c r="C7" i="1" s="1"/>
  <c r="N5" i="4" l="1"/>
  <c r="N6" i="4" s="1"/>
  <c r="N16" i="1"/>
  <c r="I15" i="1"/>
  <c r="I9" i="1"/>
  <c r="I14" i="1"/>
  <c r="I5" i="1" l="1"/>
  <c r="N3" i="1"/>
  <c r="I7" i="1"/>
  <c r="I6" i="1"/>
  <c r="I4" i="1"/>
  <c r="N5" i="1"/>
  <c r="N6" i="1" l="1"/>
</calcChain>
</file>

<file path=xl/sharedStrings.xml><?xml version="1.0" encoding="utf-8"?>
<sst xmlns="http://schemas.openxmlformats.org/spreadsheetml/2006/main" count="187" uniqueCount="60">
  <si>
    <t>1/1/D/C</t>
  </si>
  <si>
    <t>1/1/D/D</t>
  </si>
  <si>
    <t>Demand</t>
  </si>
  <si>
    <t>d</t>
  </si>
  <si>
    <t>m3/d</t>
  </si>
  <si>
    <t>Price</t>
  </si>
  <si>
    <t>c</t>
  </si>
  <si>
    <t>€/m3</t>
  </si>
  <si>
    <t>p</t>
  </si>
  <si>
    <t>1/y</t>
  </si>
  <si>
    <t>h</t>
  </si>
  <si>
    <t>Obsol. coeff.</t>
  </si>
  <si>
    <t>Obsol. rate</t>
  </si>
  <si>
    <t>€/m3 y</t>
  </si>
  <si>
    <t>€/m3 d</t>
  </si>
  <si>
    <t>r</t>
  </si>
  <si>
    <t>Replen. rate</t>
  </si>
  <si>
    <t>Order cost</t>
  </si>
  <si>
    <t>€</t>
  </si>
  <si>
    <t>k</t>
  </si>
  <si>
    <t>Data</t>
  </si>
  <si>
    <t>Lead time</t>
  </si>
  <si>
    <t>L</t>
  </si>
  <si>
    <t>EOQ</t>
  </si>
  <si>
    <t>Period</t>
  </si>
  <si>
    <t>Max level</t>
  </si>
  <si>
    <t>q</t>
  </si>
  <si>
    <t>T</t>
  </si>
  <si>
    <t>Tr</t>
  </si>
  <si>
    <t xml:space="preserve">I </t>
  </si>
  <si>
    <t>M</t>
  </si>
  <si>
    <t>sqrt(2kd/h(1-d/r))</t>
  </si>
  <si>
    <t>m3</t>
  </si>
  <si>
    <t>(solver)</t>
  </si>
  <si>
    <t>q/d</t>
  </si>
  <si>
    <t>q/r</t>
  </si>
  <si>
    <t>q(1-d/r)/2</t>
  </si>
  <si>
    <t xml:space="preserve">q(1-d/r) </t>
  </si>
  <si>
    <t>Avg. level</t>
  </si>
  <si>
    <t>Repl. per.</t>
  </si>
  <si>
    <t>Solution</t>
  </si>
  <si>
    <t>Purchase cost</t>
  </si>
  <si>
    <t>Total cost</t>
  </si>
  <si>
    <t>Obsol. cost</t>
  </si>
  <si>
    <t>kd/q</t>
  </si>
  <si>
    <t>cd</t>
  </si>
  <si>
    <t>hq(1-d/r)/2</t>
  </si>
  <si>
    <t>€/d</t>
  </si>
  <si>
    <t>Cost</t>
  </si>
  <si>
    <t>sqrt(2kd/h)</t>
  </si>
  <si>
    <t>q/2</t>
  </si>
  <si>
    <t>Reorder point</t>
  </si>
  <si>
    <t>dL</t>
  </si>
  <si>
    <t>Savings</t>
  </si>
  <si>
    <t>Capacity</t>
  </si>
  <si>
    <t xml:space="preserve">m3 </t>
  </si>
  <si>
    <t>Min. duration</t>
  </si>
  <si>
    <t>Unconstrained</t>
  </si>
  <si>
    <t>Constrained (cap.)</t>
  </si>
  <si>
    <t>Constrained (per.)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</si>
</sst>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9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4" fillId="0" borderId="0" xfId="0" applyNumberFormat="1" applyFont="1"/>
    <xf numFmtId="4" fontId="5" fillId="4" borderId="0" xfId="0" applyNumberFormat="1" applyFont="1" applyFill="1"/>
    <xf numFmtId="4" fontId="4" fillId="0" borderId="0" xfId="0" applyNumberFormat="1" applyFont="1"/>
    <xf numFmtId="4" fontId="1" fillId="0" borderId="0" xfId="0" applyNumberFormat="1" applyFont="1"/>
    <xf numFmtId="0" fontId="2" fillId="5" borderId="0" xfId="0" applyFont="1" applyFill="1" applyAlignment="1">
      <alignment horizontal="center"/>
    </xf>
    <xf numFmtId="4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45" zoomScaleNormal="145" workbookViewId="0">
      <selection activeCell="F24" sqref="F24"/>
    </sheetView>
  </sheetViews>
  <sheetFormatPr defaultRowHeight="15" x14ac:dyDescent="0.25"/>
  <cols>
    <col min="1" max="1" width="12.28515625" bestFit="1" customWidth="1"/>
    <col min="2" max="2" width="2.140625" bestFit="1" customWidth="1"/>
    <col min="3" max="3" width="6.85546875" bestFit="1" customWidth="1"/>
    <col min="4" max="4" width="7.140625" bestFit="1" customWidth="1"/>
    <col min="5" max="5" width="2" customWidth="1"/>
    <col min="6" max="6" width="13.42578125" bestFit="1" customWidth="1"/>
    <col min="7" max="7" width="2.7109375" bestFit="1" customWidth="1"/>
    <col min="8" max="8" width="17" bestFit="1" customWidth="1"/>
    <col min="9" max="9" width="10.7109375" bestFit="1" customWidth="1"/>
    <col min="10" max="10" width="3.7109375" bestFit="1" customWidth="1"/>
    <col min="11" max="11" width="2.42578125" customWidth="1"/>
    <col min="12" max="12" width="13.140625" bestFit="1" customWidth="1"/>
    <col min="13" max="13" width="11" bestFit="1" customWidth="1"/>
  </cols>
  <sheetData>
    <row r="1" spans="1:15" x14ac:dyDescent="0.25">
      <c r="A1" s="2" t="s">
        <v>0</v>
      </c>
    </row>
    <row r="2" spans="1:15" x14ac:dyDescent="0.25">
      <c r="A2" s="7" t="s">
        <v>20</v>
      </c>
      <c r="B2" s="7"/>
      <c r="C2" s="7"/>
      <c r="D2" s="7"/>
      <c r="F2" s="6" t="s">
        <v>40</v>
      </c>
      <c r="G2" s="6"/>
      <c r="H2" s="6"/>
      <c r="I2" s="6"/>
      <c r="J2" s="6"/>
      <c r="L2" s="12" t="s">
        <v>48</v>
      </c>
      <c r="M2" s="12"/>
      <c r="N2" s="12"/>
      <c r="O2" s="12"/>
    </row>
    <row r="3" spans="1:15" x14ac:dyDescent="0.25">
      <c r="A3" t="s">
        <v>2</v>
      </c>
      <c r="B3" t="s">
        <v>3</v>
      </c>
      <c r="C3">
        <v>12500</v>
      </c>
      <c r="D3" t="s">
        <v>4</v>
      </c>
      <c r="F3" t="s">
        <v>23</v>
      </c>
      <c r="G3" t="s">
        <v>26</v>
      </c>
      <c r="H3" t="s">
        <v>33</v>
      </c>
      <c r="I3" s="9">
        <v>176877.68815710308</v>
      </c>
      <c r="J3" t="s">
        <v>32</v>
      </c>
      <c r="L3" s="1" t="s">
        <v>17</v>
      </c>
      <c r="M3" s="1" t="s">
        <v>44</v>
      </c>
      <c r="N3" s="11">
        <f>C9*C3/I3</f>
        <v>14.134060808051128</v>
      </c>
      <c r="O3" s="1" t="s">
        <v>47</v>
      </c>
    </row>
    <row r="4" spans="1:15" x14ac:dyDescent="0.25">
      <c r="A4" t="s">
        <v>5</v>
      </c>
      <c r="B4" t="s">
        <v>6</v>
      </c>
      <c r="C4">
        <v>0.5</v>
      </c>
      <c r="D4" t="s">
        <v>7</v>
      </c>
      <c r="F4" t="s">
        <v>24</v>
      </c>
      <c r="G4" t="s">
        <v>27</v>
      </c>
      <c r="H4" t="s">
        <v>34</v>
      </c>
      <c r="I4" s="8">
        <f>I3/C3</f>
        <v>14.150215052568246</v>
      </c>
      <c r="J4" t="s">
        <v>3</v>
      </c>
      <c r="L4" s="1" t="s">
        <v>41</v>
      </c>
      <c r="M4" s="1" t="s">
        <v>45</v>
      </c>
      <c r="N4" s="11">
        <f>C4*C3</f>
        <v>6250</v>
      </c>
      <c r="O4" s="1" t="s">
        <v>47</v>
      </c>
    </row>
    <row r="5" spans="1:15" x14ac:dyDescent="0.25">
      <c r="A5" t="s">
        <v>12</v>
      </c>
      <c r="B5" t="s">
        <v>8</v>
      </c>
      <c r="C5" s="3">
        <v>0.2</v>
      </c>
      <c r="D5" t="s">
        <v>9</v>
      </c>
      <c r="F5" t="s">
        <v>39</v>
      </c>
      <c r="G5" t="s">
        <v>28</v>
      </c>
      <c r="H5" t="s">
        <v>35</v>
      </c>
      <c r="I5" s="8">
        <f>I3/C8</f>
        <v>5.8959229385701031</v>
      </c>
      <c r="J5" t="s">
        <v>3</v>
      </c>
      <c r="L5" s="1" t="s">
        <v>43</v>
      </c>
      <c r="M5" s="1" t="s">
        <v>46</v>
      </c>
      <c r="N5" s="11">
        <f>C7*I3*(1-C3/C8)/2</f>
        <v>14.134061839037917</v>
      </c>
      <c r="O5" s="1" t="s">
        <v>47</v>
      </c>
    </row>
    <row r="6" spans="1:15" x14ac:dyDescent="0.25">
      <c r="A6" t="s">
        <v>11</v>
      </c>
      <c r="B6" t="s">
        <v>10</v>
      </c>
      <c r="C6" s="4">
        <f>C4*C5</f>
        <v>0.1</v>
      </c>
      <c r="D6" t="s">
        <v>13</v>
      </c>
      <c r="F6" t="s">
        <v>38</v>
      </c>
      <c r="G6" t="s">
        <v>29</v>
      </c>
      <c r="H6" t="s">
        <v>36</v>
      </c>
      <c r="I6" s="10">
        <f>I3*(1-C3/C8)/2</f>
        <v>51589.325712488389</v>
      </c>
      <c r="J6" t="s">
        <v>32</v>
      </c>
      <c r="L6" s="2" t="s">
        <v>42</v>
      </c>
      <c r="M6" s="2"/>
      <c r="N6" s="13">
        <f>SUM(N3:N5)</f>
        <v>6278.2681226470886</v>
      </c>
      <c r="O6" s="2" t="s">
        <v>47</v>
      </c>
    </row>
    <row r="7" spans="1:15" x14ac:dyDescent="0.25">
      <c r="A7" t="s">
        <v>11</v>
      </c>
      <c r="B7" t="s">
        <v>10</v>
      </c>
      <c r="C7" s="5">
        <f>C6/365</f>
        <v>2.7397260273972606E-4</v>
      </c>
      <c r="D7" t="s">
        <v>14</v>
      </c>
      <c r="F7" t="s">
        <v>25</v>
      </c>
      <c r="G7" t="s">
        <v>30</v>
      </c>
      <c r="H7" t="s">
        <v>37</v>
      </c>
      <c r="I7" s="10">
        <f>I3*(1-C3/C8)</f>
        <v>103178.65142497678</v>
      </c>
      <c r="J7" t="s">
        <v>32</v>
      </c>
    </row>
    <row r="8" spans="1:15" x14ac:dyDescent="0.25">
      <c r="A8" t="s">
        <v>16</v>
      </c>
      <c r="B8" t="s">
        <v>15</v>
      </c>
      <c r="C8">
        <v>30000</v>
      </c>
      <c r="D8" t="s">
        <v>4</v>
      </c>
    </row>
    <row r="9" spans="1:15" x14ac:dyDescent="0.25">
      <c r="A9" t="s">
        <v>17</v>
      </c>
      <c r="B9" t="s">
        <v>19</v>
      </c>
      <c r="C9">
        <v>200</v>
      </c>
      <c r="D9" t="s">
        <v>18</v>
      </c>
      <c r="F9" t="s">
        <v>23</v>
      </c>
      <c r="G9" t="s">
        <v>26</v>
      </c>
      <c r="H9" t="s">
        <v>31</v>
      </c>
      <c r="I9" s="10">
        <f>SQRT(2*C9*C3/(C7*(1-C3/C8)))</f>
        <v>176877.68170607134</v>
      </c>
      <c r="J9" t="s">
        <v>32</v>
      </c>
    </row>
    <row r="11" spans="1:15" x14ac:dyDescent="0.25">
      <c r="A11" s="2" t="s">
        <v>1</v>
      </c>
    </row>
    <row r="12" spans="1:15" x14ac:dyDescent="0.25">
      <c r="A12" s="7" t="s">
        <v>20</v>
      </c>
      <c r="B12" s="7"/>
      <c r="C12" s="7"/>
      <c r="D12" s="7"/>
      <c r="F12" s="6" t="s">
        <v>40</v>
      </c>
      <c r="G12" s="6"/>
      <c r="H12" s="6"/>
      <c r="I12" s="6"/>
      <c r="J12" s="6"/>
      <c r="L12" s="12" t="s">
        <v>48</v>
      </c>
      <c r="M12" s="12"/>
      <c r="N12" s="12"/>
      <c r="O12" s="12"/>
    </row>
    <row r="13" spans="1:15" x14ac:dyDescent="0.25">
      <c r="A13" t="s">
        <v>2</v>
      </c>
      <c r="B13" t="s">
        <v>3</v>
      </c>
      <c r="C13">
        <v>12500</v>
      </c>
      <c r="D13" t="s">
        <v>4</v>
      </c>
      <c r="F13" t="s">
        <v>23</v>
      </c>
      <c r="G13" t="s">
        <v>26</v>
      </c>
      <c r="H13" t="s">
        <v>33</v>
      </c>
      <c r="I13" s="9">
        <v>477624.329247549</v>
      </c>
      <c r="J13" t="s">
        <v>32</v>
      </c>
      <c r="L13" s="1" t="s">
        <v>17</v>
      </c>
      <c r="M13" s="1" t="s">
        <v>44</v>
      </c>
      <c r="N13" s="11">
        <f>C18*C13/I13</f>
        <v>65.427990339670004</v>
      </c>
      <c r="O13" s="1" t="s">
        <v>47</v>
      </c>
    </row>
    <row r="14" spans="1:15" x14ac:dyDescent="0.25">
      <c r="A14" t="s">
        <v>5</v>
      </c>
      <c r="B14" t="s">
        <v>6</v>
      </c>
      <c r="C14">
        <v>0.5</v>
      </c>
      <c r="D14" t="s">
        <v>7</v>
      </c>
      <c r="F14" t="s">
        <v>24</v>
      </c>
      <c r="G14" t="s">
        <v>27</v>
      </c>
      <c r="H14" t="s">
        <v>34</v>
      </c>
      <c r="I14" s="8">
        <f>I13/C13</f>
        <v>38.209946339803921</v>
      </c>
      <c r="J14" t="s">
        <v>3</v>
      </c>
      <c r="L14" s="1" t="s">
        <v>41</v>
      </c>
      <c r="M14" s="1" t="s">
        <v>45</v>
      </c>
      <c r="N14" s="11">
        <f>C14*C13</f>
        <v>6250</v>
      </c>
      <c r="O14" s="1" t="s">
        <v>47</v>
      </c>
    </row>
    <row r="15" spans="1:15" x14ac:dyDescent="0.25">
      <c r="A15" t="s">
        <v>12</v>
      </c>
      <c r="B15" t="s">
        <v>8</v>
      </c>
      <c r="C15" s="3">
        <v>0.2</v>
      </c>
      <c r="D15" t="s">
        <v>9</v>
      </c>
      <c r="F15" t="s">
        <v>38</v>
      </c>
      <c r="G15" t="s">
        <v>29</v>
      </c>
      <c r="H15" t="s">
        <v>50</v>
      </c>
      <c r="I15" s="10">
        <f>I13/2</f>
        <v>238812.1646237745</v>
      </c>
      <c r="J15" t="s">
        <v>32</v>
      </c>
      <c r="L15" s="1" t="s">
        <v>43</v>
      </c>
      <c r="M15" s="1" t="s">
        <v>46</v>
      </c>
      <c r="N15" s="11">
        <f>C17*I13/2</f>
        <v>65.427990307883434</v>
      </c>
      <c r="O15" s="1" t="s">
        <v>47</v>
      </c>
    </row>
    <row r="16" spans="1:15" x14ac:dyDescent="0.25">
      <c r="A16" t="s">
        <v>11</v>
      </c>
      <c r="B16" t="s">
        <v>10</v>
      </c>
      <c r="C16" s="4">
        <f>C14*C15</f>
        <v>0.1</v>
      </c>
      <c r="D16" t="s">
        <v>13</v>
      </c>
      <c r="F16" t="s">
        <v>25</v>
      </c>
      <c r="G16" t="s">
        <v>30</v>
      </c>
      <c r="H16" t="s">
        <v>26</v>
      </c>
      <c r="I16" s="10">
        <f>I13</f>
        <v>477624.329247549</v>
      </c>
      <c r="J16" t="s">
        <v>32</v>
      </c>
      <c r="L16" s="2" t="s">
        <v>42</v>
      </c>
      <c r="M16" s="2"/>
      <c r="N16" s="13">
        <f>SUM(N13:N15)</f>
        <v>6380.8559806475532</v>
      </c>
      <c r="O16" s="2" t="s">
        <v>47</v>
      </c>
    </row>
    <row r="17" spans="1:15" x14ac:dyDescent="0.25">
      <c r="A17" t="s">
        <v>11</v>
      </c>
      <c r="B17" t="s">
        <v>10</v>
      </c>
      <c r="C17" s="5">
        <f>C16/365</f>
        <v>2.7397260273972606E-4</v>
      </c>
      <c r="D17" t="s">
        <v>14</v>
      </c>
      <c r="F17" t="s">
        <v>51</v>
      </c>
      <c r="H17" t="s">
        <v>52</v>
      </c>
      <c r="I17" s="10">
        <f>C13*C19</f>
        <v>87500</v>
      </c>
      <c r="J17" t="s">
        <v>32</v>
      </c>
    </row>
    <row r="18" spans="1:15" x14ac:dyDescent="0.25">
      <c r="A18" t="s">
        <v>17</v>
      </c>
      <c r="B18" t="s">
        <v>19</v>
      </c>
      <c r="C18">
        <v>2500</v>
      </c>
      <c r="D18" t="s">
        <v>18</v>
      </c>
    </row>
    <row r="19" spans="1:15" x14ac:dyDescent="0.25">
      <c r="A19" t="s">
        <v>21</v>
      </c>
      <c r="B19" t="s">
        <v>22</v>
      </c>
      <c r="C19">
        <v>7</v>
      </c>
      <c r="D19" t="s">
        <v>3</v>
      </c>
      <c r="F19" t="s">
        <v>23</v>
      </c>
      <c r="G19" t="s">
        <v>26</v>
      </c>
      <c r="H19" t="s">
        <v>49</v>
      </c>
      <c r="I19" s="10">
        <f>SQRT(2*C18*C13/C17)</f>
        <v>477624.32936356997</v>
      </c>
      <c r="J19" t="s">
        <v>32</v>
      </c>
    </row>
    <row r="21" spans="1:15" x14ac:dyDescent="0.25">
      <c r="L21" s="2" t="s">
        <v>53</v>
      </c>
      <c r="M21" s="2"/>
      <c r="N21" s="13">
        <f>N16-N6</f>
        <v>102.58785800046462</v>
      </c>
      <c r="O21" s="2" t="s">
        <v>47</v>
      </c>
    </row>
  </sheetData>
  <mergeCells count="6">
    <mergeCell ref="A2:D2"/>
    <mergeCell ref="A12:D12"/>
    <mergeCell ref="F2:J2"/>
    <mergeCell ref="L2:O2"/>
    <mergeCell ref="F12:J12"/>
    <mergeCell ref="L12:O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145" zoomScaleNormal="145" workbookViewId="0">
      <selection activeCell="D24" sqref="D24"/>
    </sheetView>
  </sheetViews>
  <sheetFormatPr defaultRowHeight="15" x14ac:dyDescent="0.25"/>
  <cols>
    <col min="1" max="1" width="12.28515625" bestFit="1" customWidth="1"/>
    <col min="2" max="2" width="2.140625" bestFit="1" customWidth="1"/>
    <col min="3" max="3" width="6.85546875" bestFit="1" customWidth="1"/>
    <col min="4" max="4" width="7.140625" bestFit="1" customWidth="1"/>
    <col min="5" max="5" width="2" customWidth="1"/>
    <col min="6" max="6" width="13.42578125" bestFit="1" customWidth="1"/>
    <col min="7" max="7" width="2.7109375" bestFit="1" customWidth="1"/>
    <col min="8" max="8" width="9.85546875" bestFit="1" customWidth="1"/>
    <col min="9" max="9" width="10.7109375" bestFit="1" customWidth="1"/>
    <col min="10" max="10" width="3.7109375" bestFit="1" customWidth="1"/>
    <col min="11" max="11" width="2.42578125" customWidth="1"/>
    <col min="12" max="12" width="17.42578125" bestFit="1" customWidth="1"/>
    <col min="13" max="13" width="11" bestFit="1" customWidth="1"/>
    <col min="14" max="14" width="8.5703125" bestFit="1" customWidth="1"/>
    <col min="15" max="15" width="4" bestFit="1" customWidth="1"/>
  </cols>
  <sheetData>
    <row r="1" spans="1:15" x14ac:dyDescent="0.25">
      <c r="A1" s="2" t="s">
        <v>0</v>
      </c>
    </row>
    <row r="2" spans="1:15" x14ac:dyDescent="0.25">
      <c r="A2" s="7" t="s">
        <v>20</v>
      </c>
      <c r="B2" s="7"/>
      <c r="C2" s="7"/>
      <c r="D2" s="7"/>
      <c r="F2" s="6" t="s">
        <v>40</v>
      </c>
      <c r="G2" s="6"/>
      <c r="H2" s="6"/>
      <c r="I2" s="6"/>
      <c r="J2" s="6"/>
      <c r="L2" s="12" t="s">
        <v>48</v>
      </c>
      <c r="M2" s="12"/>
      <c r="N2" s="12"/>
      <c r="O2" s="12"/>
    </row>
    <row r="3" spans="1:15" x14ac:dyDescent="0.25">
      <c r="A3" t="s">
        <v>2</v>
      </c>
      <c r="B3" t="s">
        <v>3</v>
      </c>
      <c r="C3">
        <v>12500</v>
      </c>
      <c r="D3" t="s">
        <v>4</v>
      </c>
      <c r="F3" t="s">
        <v>23</v>
      </c>
      <c r="G3" t="s">
        <v>26</v>
      </c>
      <c r="H3" t="s">
        <v>33</v>
      </c>
      <c r="I3" s="9">
        <v>210000</v>
      </c>
      <c r="J3" t="s">
        <v>32</v>
      </c>
      <c r="L3" s="1" t="s">
        <v>17</v>
      </c>
      <c r="M3" s="1" t="s">
        <v>44</v>
      </c>
      <c r="N3" s="11">
        <f>C9*C3/I3</f>
        <v>11.904761904761905</v>
      </c>
      <c r="O3" s="1" t="s">
        <v>47</v>
      </c>
    </row>
    <row r="4" spans="1:15" x14ac:dyDescent="0.25">
      <c r="A4" t="s">
        <v>5</v>
      </c>
      <c r="B4" t="s">
        <v>6</v>
      </c>
      <c r="C4">
        <v>0.5</v>
      </c>
      <c r="D4" t="s">
        <v>7</v>
      </c>
      <c r="F4" t="s">
        <v>24</v>
      </c>
      <c r="G4" t="s">
        <v>27</v>
      </c>
      <c r="H4" t="s">
        <v>34</v>
      </c>
      <c r="I4" s="8">
        <f>I3/C3</f>
        <v>16.8</v>
      </c>
      <c r="J4" t="s">
        <v>3</v>
      </c>
      <c r="L4" s="1" t="s">
        <v>41</v>
      </c>
      <c r="M4" s="1" t="s">
        <v>45</v>
      </c>
      <c r="N4" s="11">
        <f>C4*C3</f>
        <v>6250</v>
      </c>
      <c r="O4" s="1" t="s">
        <v>47</v>
      </c>
    </row>
    <row r="5" spans="1:15" x14ac:dyDescent="0.25">
      <c r="A5" t="s">
        <v>12</v>
      </c>
      <c r="B5" t="s">
        <v>8</v>
      </c>
      <c r="C5" s="3">
        <v>0.2</v>
      </c>
      <c r="D5" t="s">
        <v>9</v>
      </c>
      <c r="F5" t="s">
        <v>39</v>
      </c>
      <c r="G5" t="s">
        <v>28</v>
      </c>
      <c r="H5" t="s">
        <v>35</v>
      </c>
      <c r="I5" s="8">
        <f>I3/C8</f>
        <v>7</v>
      </c>
      <c r="J5" t="s">
        <v>3</v>
      </c>
      <c r="L5" s="1" t="s">
        <v>43</v>
      </c>
      <c r="M5" s="1" t="s">
        <v>46</v>
      </c>
      <c r="N5" s="11">
        <f>C7*I3*(1-C3/C8)/2</f>
        <v>16.780821917808218</v>
      </c>
      <c r="O5" s="1" t="s">
        <v>47</v>
      </c>
    </row>
    <row r="6" spans="1:15" x14ac:dyDescent="0.25">
      <c r="A6" t="s">
        <v>11</v>
      </c>
      <c r="B6" t="s">
        <v>10</v>
      </c>
      <c r="C6" s="4">
        <f>C4*C5</f>
        <v>0.1</v>
      </c>
      <c r="D6" t="s">
        <v>13</v>
      </c>
      <c r="F6" t="s">
        <v>38</v>
      </c>
      <c r="G6" t="s">
        <v>29</v>
      </c>
      <c r="H6" t="s">
        <v>36</v>
      </c>
      <c r="I6" s="10">
        <f>I3*(1-C3/C8)/2</f>
        <v>61249.999999999993</v>
      </c>
      <c r="J6" t="s">
        <v>32</v>
      </c>
      <c r="L6" s="2" t="s">
        <v>42</v>
      </c>
      <c r="M6" s="2"/>
      <c r="N6" s="13">
        <f>SUM(N3:N5)</f>
        <v>6278.6855838225692</v>
      </c>
      <c r="O6" s="2" t="s">
        <v>47</v>
      </c>
    </row>
    <row r="7" spans="1:15" x14ac:dyDescent="0.25">
      <c r="A7" t="s">
        <v>11</v>
      </c>
      <c r="B7" t="s">
        <v>10</v>
      </c>
      <c r="C7" s="5">
        <f>C6/365</f>
        <v>2.7397260273972606E-4</v>
      </c>
      <c r="D7" t="s">
        <v>14</v>
      </c>
      <c r="F7" t="s">
        <v>25</v>
      </c>
      <c r="G7" t="s">
        <v>30</v>
      </c>
      <c r="H7" t="s">
        <v>37</v>
      </c>
      <c r="I7" s="10">
        <f>I3*(1-C3/C8)</f>
        <v>122499.99999999999</v>
      </c>
      <c r="J7" t="s">
        <v>32</v>
      </c>
    </row>
    <row r="8" spans="1:15" x14ac:dyDescent="0.25">
      <c r="A8" t="s">
        <v>16</v>
      </c>
      <c r="B8" t="s">
        <v>15</v>
      </c>
      <c r="C8">
        <v>30000</v>
      </c>
      <c r="D8" t="s">
        <v>4</v>
      </c>
    </row>
    <row r="9" spans="1:15" x14ac:dyDescent="0.25">
      <c r="A9" t="s">
        <v>17</v>
      </c>
      <c r="B9" t="s">
        <v>19</v>
      </c>
      <c r="C9">
        <v>200</v>
      </c>
      <c r="D9" t="s">
        <v>18</v>
      </c>
      <c r="I9" s="10"/>
      <c r="L9" s="1" t="s">
        <v>57</v>
      </c>
      <c r="N9" s="11">
        <v>28.268122647089044</v>
      </c>
      <c r="O9" s="1" t="s">
        <v>47</v>
      </c>
    </row>
    <row r="10" spans="1:15" x14ac:dyDescent="0.25">
      <c r="A10" t="s">
        <v>54</v>
      </c>
      <c r="C10">
        <v>80000</v>
      </c>
      <c r="D10" t="s">
        <v>55</v>
      </c>
      <c r="L10" s="1" t="s">
        <v>58</v>
      </c>
      <c r="N10" s="11">
        <v>29.188070776255707</v>
      </c>
      <c r="O10" s="1" t="s">
        <v>47</v>
      </c>
    </row>
    <row r="11" spans="1:15" x14ac:dyDescent="0.25">
      <c r="A11" t="s">
        <v>56</v>
      </c>
      <c r="C11">
        <v>7</v>
      </c>
      <c r="D11" t="s">
        <v>3</v>
      </c>
      <c r="L11" s="1" t="s">
        <v>59</v>
      </c>
      <c r="N11" s="11">
        <f>N3+N5</f>
        <v>28.685583822570123</v>
      </c>
      <c r="O11" s="1" t="s">
        <v>47</v>
      </c>
    </row>
  </sheetData>
  <mergeCells count="3">
    <mergeCell ref="A2:D2"/>
    <mergeCell ref="F2:J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Unconstrained</vt:lpstr>
      <vt:lpstr>Constrained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2020-04-11T10:18:23Z</dcterms:modified>
</cp:coreProperties>
</file>